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60" yWindow="36" windowWidth="14352" windowHeight="6216"/>
  </bookViews>
  <sheets>
    <sheet name="Sheet1" sheetId="1" r:id="rId1"/>
    <sheet name="Sheet2" sheetId="2" r:id="rId2"/>
    <sheet name="Sheet3" sheetId="3" r:id="rId3"/>
  </sheets>
  <definedNames>
    <definedName name="accrued">Sheet1!$D$25</definedName>
    <definedName name="accruedmethod">Sheet1!$D$18</definedName>
    <definedName name="cleanprice">Sheet1!$D$24</definedName>
    <definedName name="coupon">Sheet1!$D$10</definedName>
    <definedName name="couponfrequency">Sheet1!$D$11</definedName>
    <definedName name="daysaccrued">Sheet1!$J$12</definedName>
    <definedName name="daysprice">Sheet1!$J$10</definedName>
    <definedName name="dirtyprice">Sheet1!$D$26</definedName>
    <definedName name="exdiv">Sheet1!$D$19</definedName>
    <definedName name="exdivdays">Sheet1!$J$13</definedName>
    <definedName name="lastcoupon">Sheet1!$J$8</definedName>
    <definedName name="maturity">Sheet1!$D$12</definedName>
    <definedName name="methodtable">Sheet1!$H$17:$K$28</definedName>
    <definedName name="monthend">Sheet1!$D$16</definedName>
    <definedName name="nextcoupon">Sheet1!$J$9</definedName>
    <definedName name="periods">Sheet1!$J$15</definedName>
    <definedName name="pricemethod">Sheet1!$D$17</definedName>
    <definedName name="_xlnm.Print_Area" localSheetId="0">Sheet1!$B$1:$F$33</definedName>
    <definedName name="quotedyield">Sheet1!$D$14</definedName>
    <definedName name="settlement">Sheet1!$D$13</definedName>
    <definedName name="sifma">Sheet1!$H$21</definedName>
    <definedName name="yearaccrued">Sheet1!$J$14</definedName>
    <definedName name="yearprice">Sheet1!$J$11</definedName>
    <definedName name="yield">Sheet1!$K$7</definedName>
    <definedName name="yieldfrequency">Sheet1!$D$15</definedName>
  </definedNames>
  <calcPr calcId="145621" iterate="1"/>
</workbook>
</file>

<file path=xl/calcChain.xml><?xml version="1.0" encoding="utf-8"?>
<calcChain xmlns="http://schemas.openxmlformats.org/spreadsheetml/2006/main">
  <c r="C21" i="1" l="1"/>
  <c r="K7" i="1" l="1"/>
  <c r="J9" i="1"/>
  <c r="J8" i="1"/>
  <c r="F16" i="1"/>
  <c r="C22" i="1"/>
  <c r="C16" i="1"/>
  <c r="J17" i="1" l="1"/>
  <c r="J28" i="1"/>
  <c r="I17" i="1"/>
  <c r="I28" i="1"/>
  <c r="J27" i="1"/>
  <c r="I27" i="1"/>
  <c r="I20" i="1"/>
  <c r="I24" i="1"/>
  <c r="J20" i="1"/>
  <c r="J24" i="1"/>
  <c r="I21" i="1"/>
  <c r="I25" i="1"/>
  <c r="J15" i="1"/>
  <c r="J21" i="1"/>
  <c r="J25" i="1"/>
  <c r="K22" i="1"/>
  <c r="I18" i="1"/>
  <c r="I22" i="1"/>
  <c r="I26" i="1"/>
  <c r="K26" i="1"/>
  <c r="J18" i="1"/>
  <c r="J22" i="1"/>
  <c r="J26" i="1"/>
  <c r="I19" i="1"/>
  <c r="I23" i="1"/>
  <c r="K24" i="1"/>
  <c r="J19" i="1"/>
  <c r="J23" i="1"/>
  <c r="J12" i="1" l="1"/>
  <c r="J10" i="1"/>
  <c r="J13" i="1"/>
  <c r="J14" i="1"/>
  <c r="J11" i="1"/>
  <c r="D25" i="1" l="1"/>
  <c r="E18" i="1"/>
  <c r="E17" i="1"/>
  <c r="D26" i="1" l="1"/>
  <c r="D28" i="1" l="1"/>
  <c r="D29" i="1" s="1"/>
  <c r="D30" i="1" s="1"/>
  <c r="D31" i="1"/>
  <c r="D27" i="1"/>
  <c r="D24" i="1"/>
</calcChain>
</file>

<file path=xl/sharedStrings.xml><?xml version="1.0" encoding="utf-8"?>
<sst xmlns="http://schemas.openxmlformats.org/spreadsheetml/2006/main" count="63" uniqueCount="58">
  <si>
    <t>Input data:</t>
  </si>
  <si>
    <t>Settlement date of purchase or sale (DD/MM/YY)</t>
  </si>
  <si>
    <t>Results:</t>
  </si>
  <si>
    <t>Yield</t>
  </si>
  <si>
    <t>Coupon rate</t>
  </si>
  <si>
    <t>Bonds</t>
  </si>
  <si>
    <t>Maturity date of the bond (DD/MM/YY)</t>
  </si>
  <si>
    <t>Day/year method for price calculation</t>
  </si>
  <si>
    <t>Day/year method for accrued coupon</t>
  </si>
  <si>
    <t>ACT/360</t>
  </si>
  <si>
    <t>www.markets-international.com                                             Copyright:  Markets International Ltd</t>
  </si>
  <si>
    <t>e.g. enter 6.375% as "6.375"</t>
  </si>
  <si>
    <t>last coupon date</t>
  </si>
  <si>
    <t>days since last coupon</t>
  </si>
  <si>
    <t>days to next coupon</t>
  </si>
  <si>
    <t>next coupon date</t>
  </si>
  <si>
    <t>days in year for accrued</t>
  </si>
  <si>
    <t>days since last coupon for accrued</t>
  </si>
  <si>
    <t>days to next coupon for price</t>
  </si>
  <si>
    <t>days in year for price</t>
  </si>
  <si>
    <t>remaining whole coupon periods</t>
  </si>
  <si>
    <r>
      <t xml:space="preserve">Do </t>
    </r>
    <r>
      <rPr>
        <b/>
        <sz val="11"/>
        <color theme="1"/>
        <rFont val="Calibri"/>
        <family val="2"/>
        <scheme val="minor"/>
      </rPr>
      <t>not</t>
    </r>
    <r>
      <rPr>
        <sz val="11"/>
        <color theme="1"/>
        <rFont val="Calibri"/>
        <family val="2"/>
        <scheme val="minor"/>
      </rPr>
      <t xml:space="preserve"> delete this part of the spreadsheet!</t>
    </r>
  </si>
  <si>
    <t>e.g. enter '23-2-12'</t>
  </si>
  <si>
    <t>Total value of the bond holding</t>
  </si>
  <si>
    <t>ignore if not needed</t>
  </si>
  <si>
    <t>ACT/365L</t>
  </si>
  <si>
    <t>year</t>
  </si>
  <si>
    <t>ACT/ACT AFB</t>
  </si>
  <si>
    <r>
      <t xml:space="preserve">30/360 German/Swiss                                       </t>
    </r>
    <r>
      <rPr>
        <i/>
        <sz val="11"/>
        <color theme="1"/>
        <rFont val="Calibri"/>
        <family val="2"/>
        <scheme val="minor"/>
      </rPr>
      <t>(Swiss and some German bonds)</t>
    </r>
  </si>
  <si>
    <r>
      <t xml:space="preserve">ACT/365                                                                  </t>
    </r>
    <r>
      <rPr>
        <i/>
        <sz val="11"/>
        <color theme="1"/>
        <rFont val="Calibri"/>
        <family val="2"/>
        <scheme val="minor"/>
      </rPr>
      <t>(Japanese government bonds)</t>
    </r>
  </si>
  <si>
    <r>
      <t xml:space="preserve">ACT/365NL                                                             </t>
    </r>
    <r>
      <rPr>
        <i/>
        <sz val="11"/>
        <color theme="1"/>
        <rFont val="Calibri"/>
        <family val="2"/>
        <scheme val="minor"/>
      </rPr>
      <t>(some Japanese bonds)</t>
    </r>
  </si>
  <si>
    <r>
      <t>30(E)/360 ICMA</t>
    </r>
    <r>
      <rPr>
        <i/>
        <sz val="11"/>
        <color theme="1"/>
        <rFont val="Calibri"/>
        <family val="2"/>
        <scheme val="minor"/>
      </rPr>
      <t xml:space="preserve"> = 30/360 Special German</t>
    </r>
    <r>
      <rPr>
        <sz val="11"/>
        <color theme="1"/>
        <rFont val="Calibri"/>
        <family val="2"/>
        <scheme val="minor"/>
      </rPr>
      <t xml:space="preserve"> </t>
    </r>
    <r>
      <rPr>
        <i/>
        <sz val="11"/>
        <color theme="1"/>
        <rFont val="Calibri"/>
        <family val="2"/>
        <scheme val="minor"/>
      </rPr>
      <t>(some European bonds; older Eurobonds)</t>
    </r>
  </si>
  <si>
    <r>
      <t xml:space="preserve">30(A)/360 </t>
    </r>
    <r>
      <rPr>
        <i/>
        <sz val="11"/>
        <color theme="1"/>
        <rFont val="Calibri"/>
        <family val="2"/>
        <scheme val="minor"/>
      </rPr>
      <t>= 30/360 ISDA</t>
    </r>
    <r>
      <rPr>
        <sz val="11"/>
        <color theme="1"/>
        <rFont val="Calibri"/>
        <family val="2"/>
        <scheme val="minor"/>
      </rPr>
      <t xml:space="preserve">                                   </t>
    </r>
    <r>
      <rPr>
        <i/>
        <sz val="11"/>
        <color theme="1"/>
        <rFont val="Calibri"/>
        <family val="2"/>
        <scheme val="minor"/>
      </rPr>
      <t>(US municipal bonds)</t>
    </r>
  </si>
  <si>
    <r>
      <t xml:space="preserve">30/360 SIFMA end-of-month </t>
    </r>
    <r>
      <rPr>
        <i/>
        <sz val="11"/>
        <color theme="1"/>
        <rFont val="Calibri"/>
        <family val="2"/>
        <scheme val="minor"/>
      </rPr>
      <t>= 30U/360</t>
    </r>
    <r>
      <rPr>
        <sz val="11"/>
        <color theme="1"/>
        <rFont val="Calibri"/>
        <family val="2"/>
        <scheme val="minor"/>
      </rPr>
      <t xml:space="preserve">    (</t>
    </r>
    <r>
      <rPr>
        <i/>
        <sz val="11"/>
        <color theme="1"/>
        <rFont val="Calibri"/>
        <family val="2"/>
        <scheme val="minor"/>
      </rPr>
      <t>some US Fed Agency &amp; corporate bonds)</t>
    </r>
  </si>
  <si>
    <r>
      <t xml:space="preserve">ACT/ACT                                                                 </t>
    </r>
    <r>
      <rPr>
        <i/>
        <sz val="11"/>
        <color theme="1"/>
        <rFont val="Calibri"/>
        <family val="2"/>
        <scheme val="minor"/>
      </rPr>
      <t>(US/most Europe govt bonds; non-$ Eurobonds)</t>
    </r>
  </si>
  <si>
    <r>
      <t xml:space="preserve">30(E)/360 ISDA                                                      </t>
    </r>
    <r>
      <rPr>
        <i/>
        <sz val="11"/>
        <color theme="1"/>
        <rFont val="Calibri"/>
        <family val="2"/>
        <scheme val="minor"/>
      </rPr>
      <t>($ Eurobonds)</t>
    </r>
  </si>
  <si>
    <t>click the arrow and choose</t>
  </si>
  <si>
    <t>Frequency of coupon payments per year</t>
  </si>
  <si>
    <t>yield</t>
  </si>
  <si>
    <t>Is the bond ex-dividend?</t>
  </si>
  <si>
    <t>NO</t>
  </si>
  <si>
    <t>days to next coupon for exdiv accrued</t>
  </si>
  <si>
    <t>Clean price per 100 face value</t>
  </si>
  <si>
    <t>Face value (= nominal value) of the bond holding</t>
  </si>
  <si>
    <t>Accrued coupon per 100 face value</t>
  </si>
  <si>
    <t>Dirty price per 100 face value</t>
  </si>
  <si>
    <t>MONTH-END</t>
  </si>
  <si>
    <t>Compounding frequency per year of the yield</t>
  </si>
  <si>
    <t>Modified duration</t>
  </si>
  <si>
    <t>Convexity</t>
  </si>
  <si>
    <t>Macaulay duration (years)</t>
  </si>
  <si>
    <t>DV01 (= PVB)</t>
  </si>
  <si>
    <t>ACT/ACT                                                                 (US/most Europe govt bonds; non-$ Eurobonds)</t>
  </si>
  <si>
    <t xml:space="preserve">                 given the yield for a straightforward bond?</t>
  </si>
  <si>
    <t xml:space="preserve"> </t>
  </si>
  <si>
    <t>What are the clean price, accrued coupon, dirty price, duration, modified duration and convexity,</t>
  </si>
  <si>
    <t>Markets International Ltd gives no warranty of any kind as to the accuracy, usefulness or safety of this spreadsheet.
All copyright belongs to Markets International Ltd. and usage is strictly limited to your personal use only
You may not distribute or publish any part of the spreadsheet in any way.
Anyone using this spreadsheet agrees to these terms and conditions by so doing.</t>
  </si>
  <si>
    <r>
      <t xml:space="preserve">ACT/364                                                                  </t>
    </r>
    <r>
      <rPr>
        <i/>
        <sz val="11"/>
        <color theme="1"/>
        <rFont val="Calibri"/>
        <family val="2"/>
        <scheme val="minor"/>
      </rPr>
      <t>(some bonds)</t>
    </r>
  </si>
</sst>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F800]dddd\,\ mmmm\ dd\,\ yyyy"/>
    <numFmt numFmtId="165" formatCode="0.000%"/>
    <numFmt numFmtId="166" formatCode="0.000000"/>
    <numFmt numFmtId="167" formatCode="#,##0.000"/>
    <numFmt numFmtId="168" formatCode="0.000"/>
  </numFmts>
  <fonts count="16" x14ac:knownFonts="1">
    <font>
      <sz val="11"/>
      <color theme="1"/>
      <name val="Calibri"/>
      <family val="2"/>
      <scheme val="minor"/>
    </font>
    <font>
      <b/>
      <u/>
      <sz val="11"/>
      <color theme="1"/>
      <name val="Calibri"/>
      <family val="2"/>
      <scheme val="minor"/>
    </font>
    <font>
      <sz val="11"/>
      <color rgb="FF3F3F76"/>
      <name val="Calibri"/>
      <family val="2"/>
      <scheme val="minor"/>
    </font>
    <font>
      <b/>
      <u/>
      <sz val="16"/>
      <color theme="1"/>
      <name val="Calibri"/>
      <family val="2"/>
      <scheme val="minor"/>
    </font>
    <font>
      <b/>
      <sz val="11"/>
      <color rgb="FFFF0000"/>
      <name val="Calibri"/>
      <family val="2"/>
      <scheme val="minor"/>
    </font>
    <font>
      <sz val="11"/>
      <color theme="1"/>
      <name val="Calibri"/>
      <family val="2"/>
      <scheme val="minor"/>
    </font>
    <font>
      <sz val="11"/>
      <name val="Calibri"/>
      <family val="2"/>
      <scheme val="minor"/>
    </font>
    <font>
      <b/>
      <sz val="16"/>
      <color rgb="FFFF0000"/>
      <name val="Calibri"/>
      <family val="2"/>
      <scheme val="minor"/>
    </font>
    <font>
      <sz val="11"/>
      <color theme="10"/>
      <name val="Calibri"/>
      <family val="2"/>
      <scheme val="minor"/>
    </font>
    <font>
      <i/>
      <sz val="11"/>
      <name val="Calibri"/>
      <family val="2"/>
      <scheme val="minor"/>
    </font>
    <font>
      <sz val="11"/>
      <color rgb="FF0070C0"/>
      <name val="Calibri"/>
      <family val="2"/>
      <scheme val="minor"/>
    </font>
    <font>
      <b/>
      <sz val="14"/>
      <name val="Calibri"/>
      <family val="2"/>
      <scheme val="minor"/>
    </font>
    <font>
      <b/>
      <sz val="11"/>
      <color theme="1"/>
      <name val="Calibri"/>
      <family val="2"/>
      <scheme val="minor"/>
    </font>
    <font>
      <sz val="11"/>
      <color rgb="FFFF0000"/>
      <name val="Calibri"/>
      <family val="2"/>
      <scheme val="minor"/>
    </font>
    <font>
      <i/>
      <sz val="11"/>
      <color theme="1"/>
      <name val="Calibri"/>
      <family val="2"/>
      <scheme val="minor"/>
    </font>
    <font>
      <b/>
      <i/>
      <sz val="11"/>
      <color rgb="FFFF0000"/>
      <name val="Calibri"/>
      <family val="2"/>
      <scheme val="minor"/>
    </font>
  </fonts>
  <fills count="6">
    <fill>
      <patternFill patternType="none"/>
    </fill>
    <fill>
      <patternFill patternType="gray125"/>
    </fill>
    <fill>
      <patternFill patternType="solid">
        <fgColor rgb="FFFFCC99"/>
      </patternFill>
    </fill>
    <fill>
      <patternFill patternType="solid">
        <fgColor theme="0" tint="-4.9989318521683403E-2"/>
        <bgColor indexed="64"/>
      </patternFill>
    </fill>
    <fill>
      <patternFill patternType="solid">
        <fgColor theme="3" tint="0.79998168889431442"/>
        <bgColor indexed="64"/>
      </patternFill>
    </fill>
    <fill>
      <patternFill patternType="solid">
        <fgColor theme="9" tint="0.79998168889431442"/>
        <bgColor indexed="64"/>
      </patternFill>
    </fill>
  </fills>
  <borders count="11">
    <border>
      <left/>
      <right/>
      <top/>
      <bottom/>
      <diagonal/>
    </border>
    <border>
      <left style="thin">
        <color rgb="FF7F7F7F"/>
      </left>
      <right style="thin">
        <color rgb="FF7F7F7F"/>
      </right>
      <top style="thin">
        <color rgb="FF7F7F7F"/>
      </top>
      <bottom style="thin">
        <color rgb="FF7F7F7F"/>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s>
  <cellStyleXfs count="11">
    <xf numFmtId="0" fontId="0" fillId="0" borderId="0"/>
    <xf numFmtId="0" fontId="2" fillId="2" borderId="1" applyNumberFormat="0" applyAlignment="0" applyProtection="0"/>
    <xf numFmtId="0" fontId="7" fillId="3" borderId="0"/>
    <xf numFmtId="0" fontId="5" fillId="3" borderId="0"/>
    <xf numFmtId="0" fontId="9" fillId="3" borderId="0"/>
    <xf numFmtId="0" fontId="11" fillId="3" borderId="10" applyBorder="0"/>
    <xf numFmtId="0" fontId="10" fillId="4" borderId="0">
      <protection locked="0"/>
    </xf>
    <xf numFmtId="0" fontId="3" fillId="3" borderId="0"/>
    <xf numFmtId="0" fontId="8" fillId="3" borderId="0"/>
    <xf numFmtId="0" fontId="4" fillId="4" borderId="0"/>
    <xf numFmtId="0" fontId="6" fillId="4" borderId="0"/>
  </cellStyleXfs>
  <cellXfs count="66">
    <xf numFmtId="0" fontId="0" fillId="0" borderId="0" xfId="0"/>
    <xf numFmtId="0" fontId="12" fillId="0" borderId="0" xfId="0" applyFont="1" applyProtection="1"/>
    <xf numFmtId="0" fontId="0" fillId="0" borderId="0" xfId="0" applyProtection="1"/>
    <xf numFmtId="0" fontId="0" fillId="0" borderId="0" xfId="0" applyFill="1" applyBorder="1" applyProtection="1"/>
    <xf numFmtId="0" fontId="0" fillId="0" borderId="0" xfId="0" applyFill="1" applyBorder="1" applyAlignment="1" applyProtection="1">
      <alignment wrapText="1"/>
    </xf>
    <xf numFmtId="0" fontId="0" fillId="0" borderId="0" xfId="0" applyFont="1" applyProtection="1"/>
    <xf numFmtId="0" fontId="1" fillId="0" borderId="0" xfId="0" applyFont="1" applyProtection="1"/>
    <xf numFmtId="0" fontId="5" fillId="3" borderId="2" xfId="3" applyBorder="1" applyProtection="1"/>
    <xf numFmtId="0" fontId="3" fillId="3" borderId="3" xfId="7" applyBorder="1" applyProtection="1"/>
    <xf numFmtId="0" fontId="5" fillId="3" borderId="3" xfId="3" applyBorder="1" applyProtection="1"/>
    <xf numFmtId="0" fontId="5" fillId="3" borderId="4" xfId="3" applyBorder="1" applyProtection="1"/>
    <xf numFmtId="0" fontId="0" fillId="5" borderId="0" xfId="0" applyFill="1" applyProtection="1"/>
    <xf numFmtId="0" fontId="5" fillId="3" borderId="5" xfId="3" applyBorder="1" applyProtection="1"/>
    <xf numFmtId="0" fontId="7" fillId="3" borderId="0" xfId="2" applyBorder="1" applyProtection="1"/>
    <xf numFmtId="0" fontId="5" fillId="3" borderId="0" xfId="3" applyBorder="1" applyProtection="1"/>
    <xf numFmtId="0" fontId="5" fillId="3" borderId="6" xfId="3" applyBorder="1" applyProtection="1"/>
    <xf numFmtId="0" fontId="0" fillId="5" borderId="0" xfId="3" applyFont="1" applyFill="1" applyBorder="1" applyProtection="1"/>
    <xf numFmtId="164" fontId="5" fillId="5" borderId="0" xfId="3" applyNumberFormat="1" applyFill="1" applyBorder="1" applyProtection="1"/>
    <xf numFmtId="0" fontId="11" fillId="3" borderId="0" xfId="5" applyBorder="1" applyAlignment="1" applyProtection="1">
      <alignment horizontal="right"/>
    </xf>
    <xf numFmtId="0" fontId="6" fillId="4" borderId="0" xfId="10" applyBorder="1" applyProtection="1"/>
    <xf numFmtId="0" fontId="9" fillId="3" borderId="6" xfId="4" applyBorder="1" applyProtection="1"/>
    <xf numFmtId="0" fontId="0" fillId="5" borderId="0" xfId="3" applyFont="1" applyFill="1" applyBorder="1" applyAlignment="1" applyProtection="1">
      <alignment horizontal="right"/>
    </xf>
    <xf numFmtId="0" fontId="6" fillId="4" borderId="2" xfId="10" applyBorder="1" applyProtection="1"/>
    <xf numFmtId="0" fontId="6" fillId="4" borderId="5" xfId="10" applyBorder="1" applyProtection="1"/>
    <xf numFmtId="166" fontId="4" fillId="4" borderId="6" xfId="9" applyNumberFormat="1" applyBorder="1" applyProtection="1"/>
    <xf numFmtId="0" fontId="6" fillId="4" borderId="7" xfId="10" applyBorder="1" applyProtection="1"/>
    <xf numFmtId="4" fontId="4" fillId="4" borderId="9" xfId="9" applyNumberFormat="1" applyBorder="1" applyProtection="1"/>
    <xf numFmtId="0" fontId="5" fillId="3" borderId="7" xfId="3" applyBorder="1" applyProtection="1"/>
    <xf numFmtId="0" fontId="8" fillId="3" borderId="8" xfId="8" applyBorder="1" applyProtection="1"/>
    <xf numFmtId="0" fontId="5" fillId="3" borderId="8" xfId="3" applyBorder="1" applyProtection="1"/>
    <xf numFmtId="0" fontId="8" fillId="3" borderId="9" xfId="8" applyBorder="1" applyProtection="1"/>
    <xf numFmtId="0" fontId="12" fillId="0" borderId="0" xfId="0" applyFont="1" applyFill="1" applyBorder="1" applyAlignment="1" applyProtection="1">
      <alignment horizontal="center" vertical="top"/>
    </xf>
    <xf numFmtId="0" fontId="13" fillId="0" borderId="0" xfId="0" applyFont="1" applyProtection="1"/>
    <xf numFmtId="4" fontId="10" fillId="4" borderId="0" xfId="6" applyNumberFormat="1" applyBorder="1" applyProtection="1">
      <protection locked="0"/>
    </xf>
    <xf numFmtId="165" fontId="10" fillId="4" borderId="0" xfId="6" applyNumberFormat="1" applyBorder="1" applyProtection="1">
      <protection locked="0"/>
    </xf>
    <xf numFmtId="0" fontId="10" fillId="4" borderId="0" xfId="6" applyBorder="1" applyProtection="1">
      <protection locked="0"/>
    </xf>
    <xf numFmtId="164" fontId="10" fillId="4" borderId="0" xfId="6" applyNumberFormat="1" applyBorder="1" applyProtection="1">
      <protection locked="0"/>
    </xf>
    <xf numFmtId="0" fontId="0" fillId="0" borderId="0" xfId="0" applyAlignment="1" applyProtection="1">
      <alignment horizontal="left"/>
    </xf>
    <xf numFmtId="0" fontId="14" fillId="3" borderId="6" xfId="3" applyFont="1" applyBorder="1" applyProtection="1"/>
    <xf numFmtId="0" fontId="0" fillId="5" borderId="0" xfId="0" applyFill="1" applyAlignment="1" applyProtection="1">
      <alignment horizontal="left"/>
    </xf>
    <xf numFmtId="1" fontId="0" fillId="5" borderId="0" xfId="0" applyNumberFormat="1" applyFill="1" applyProtection="1"/>
    <xf numFmtId="0" fontId="0" fillId="5" borderId="0" xfId="3" quotePrefix="1" applyFont="1" applyFill="1" applyBorder="1" applyAlignment="1" applyProtection="1">
      <alignment horizontal="right"/>
    </xf>
    <xf numFmtId="164" fontId="0" fillId="0" borderId="0" xfId="0" applyNumberFormat="1" applyProtection="1"/>
    <xf numFmtId="1" fontId="0" fillId="5" borderId="0" xfId="3" applyNumberFormat="1" applyFont="1" applyFill="1" applyBorder="1" applyProtection="1"/>
    <xf numFmtId="0" fontId="0" fillId="5" borderId="0" xfId="0" applyFont="1" applyFill="1" applyProtection="1"/>
    <xf numFmtId="0" fontId="0" fillId="3" borderId="0" xfId="3" applyFont="1" applyProtection="1"/>
    <xf numFmtId="49" fontId="10" fillId="4" borderId="0" xfId="6" applyNumberFormat="1" applyBorder="1" applyAlignment="1" applyProtection="1">
      <alignment horizontal="left" indent="25"/>
      <protection locked="0"/>
    </xf>
    <xf numFmtId="0" fontId="4" fillId="3" borderId="0" xfId="3" applyFont="1" applyBorder="1" applyProtection="1"/>
    <xf numFmtId="165" fontId="0" fillId="5" borderId="0" xfId="0" applyNumberFormat="1" applyFont="1" applyFill="1" applyProtection="1"/>
    <xf numFmtId="0" fontId="10" fillId="4" borderId="0" xfId="6" applyNumberFormat="1" applyBorder="1" applyAlignment="1" applyProtection="1">
      <alignment horizontal="right"/>
      <protection locked="0"/>
    </xf>
    <xf numFmtId="164" fontId="10" fillId="4" borderId="0" xfId="6" applyNumberFormat="1" applyBorder="1" applyAlignment="1" applyProtection="1">
      <alignment horizontal="right"/>
      <protection locked="0"/>
    </xf>
    <xf numFmtId="0" fontId="0" fillId="5" borderId="0" xfId="0" applyNumberFormat="1" applyFill="1" applyProtection="1"/>
    <xf numFmtId="0" fontId="15" fillId="3" borderId="0" xfId="3" applyFont="1" applyBorder="1" applyProtection="1"/>
    <xf numFmtId="4" fontId="4" fillId="4" borderId="6" xfId="9" applyNumberFormat="1" applyBorder="1" applyProtection="1"/>
    <xf numFmtId="167" fontId="4" fillId="4" borderId="6" xfId="9" applyNumberFormat="1" applyBorder="1" applyProtection="1"/>
    <xf numFmtId="0" fontId="6" fillId="0" borderId="0" xfId="10" applyFill="1" applyBorder="1" applyProtection="1"/>
    <xf numFmtId="168" fontId="4" fillId="4" borderId="4" xfId="9" applyNumberFormat="1" applyBorder="1" applyProtection="1"/>
    <xf numFmtId="0" fontId="12" fillId="5" borderId="2" xfId="0" applyFont="1" applyFill="1" applyBorder="1" applyAlignment="1" applyProtection="1">
      <alignment horizontal="center" vertical="top" wrapText="1"/>
    </xf>
    <xf numFmtId="0" fontId="12" fillId="5" borderId="3" xfId="0" applyFont="1" applyFill="1" applyBorder="1" applyAlignment="1" applyProtection="1">
      <alignment horizontal="center" vertical="top" wrapText="1"/>
    </xf>
    <xf numFmtId="0" fontId="12" fillId="5" borderId="4" xfId="0" applyFont="1" applyFill="1" applyBorder="1" applyAlignment="1" applyProtection="1">
      <alignment horizontal="center" vertical="top" wrapText="1"/>
    </xf>
    <xf numFmtId="0" fontId="12" fillId="5" borderId="5" xfId="0" applyFont="1" applyFill="1" applyBorder="1" applyAlignment="1" applyProtection="1">
      <alignment horizontal="center" vertical="top" wrapText="1"/>
    </xf>
    <xf numFmtId="0" fontId="12" fillId="5" borderId="0" xfId="0" applyFont="1" applyFill="1" applyBorder="1" applyAlignment="1" applyProtection="1">
      <alignment horizontal="center" vertical="top" wrapText="1"/>
    </xf>
    <xf numFmtId="0" fontId="12" fillId="5" borderId="6" xfId="0" applyFont="1" applyFill="1" applyBorder="1" applyAlignment="1" applyProtection="1">
      <alignment horizontal="center" vertical="top" wrapText="1"/>
    </xf>
    <xf numFmtId="0" fontId="12" fillId="5" borderId="7" xfId="0" applyFont="1" applyFill="1" applyBorder="1" applyAlignment="1" applyProtection="1">
      <alignment horizontal="center" vertical="top" wrapText="1"/>
    </xf>
    <xf numFmtId="0" fontId="12" fillId="5" borderId="8" xfId="0" applyFont="1" applyFill="1" applyBorder="1" applyAlignment="1" applyProtection="1">
      <alignment horizontal="center" vertical="top" wrapText="1"/>
    </xf>
    <xf numFmtId="0" fontId="12" fillId="5" borderId="9" xfId="0" applyFont="1" applyFill="1" applyBorder="1" applyAlignment="1" applyProtection="1">
      <alignment horizontal="center" vertical="top" wrapText="1"/>
    </xf>
  </cellXfs>
  <cellStyles count="11">
    <cellStyle name="Background" xfId="3"/>
    <cellStyle name="Comment" xfId="4"/>
    <cellStyle name="Input" xfId="1" builtinId="20" hidden="1"/>
    <cellStyle name="Inputs" xfId="6"/>
    <cellStyle name="markets" xfId="8"/>
    <cellStyle name="Normal" xfId="0" builtinId="0"/>
    <cellStyle name="Question" xfId="2"/>
    <cellStyle name="Results" xfId="9"/>
    <cellStyle name="Subheadings" xfId="5"/>
    <cellStyle name="Tables" xfId="10"/>
    <cellStyle name="Titles" xfId="7"/>
  </cellStyles>
  <dxfs count="1">
    <dxf>
      <font>
        <b val="0"/>
        <i/>
        <strike/>
        <color theme="3" tint="0.79998168889431442"/>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markets-internationa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43"/>
  <sheetViews>
    <sheetView tabSelected="1" zoomScaleNormal="100" workbookViewId="0">
      <selection activeCell="D18" sqref="D18"/>
    </sheetView>
  </sheetViews>
  <sheetFormatPr defaultColWidth="9.109375" defaultRowHeight="14.4" x14ac:dyDescent="0.3"/>
  <cols>
    <col min="1" max="2" width="2.88671875" style="2" customWidth="1"/>
    <col min="3" max="3" width="78.88671875" style="2" customWidth="1"/>
    <col min="4" max="4" width="68.109375" style="2" customWidth="1"/>
    <col min="5" max="5" width="1.6640625" style="2" customWidth="1"/>
    <col min="6" max="6" width="26" style="2" customWidth="1"/>
    <col min="7" max="7" width="2.109375" style="2" customWidth="1"/>
    <col min="8" max="8" width="35.88671875" style="2" customWidth="1"/>
    <col min="9" max="9" width="11.33203125" style="2" customWidth="1"/>
    <col min="10" max="10" width="20.109375" style="2" customWidth="1"/>
    <col min="11" max="11" width="8.109375" style="2" customWidth="1"/>
    <col min="12" max="12" width="17.44140625" style="2" customWidth="1"/>
    <col min="13" max="13" width="15.44140625" style="2" customWidth="1"/>
    <col min="14" max="16384" width="9.109375" style="2"/>
  </cols>
  <sheetData>
    <row r="1" spans="1:13" ht="15" customHeight="1" x14ac:dyDescent="0.3">
      <c r="A1" s="1"/>
      <c r="B1" s="57" t="s">
        <v>56</v>
      </c>
      <c r="C1" s="58"/>
      <c r="D1" s="58"/>
      <c r="E1" s="58"/>
      <c r="F1" s="59"/>
      <c r="G1" s="31" t="s">
        <v>54</v>
      </c>
      <c r="H1" s="32"/>
      <c r="I1" s="32"/>
      <c r="J1" s="4"/>
      <c r="K1" s="3"/>
    </row>
    <row r="2" spans="1:13" x14ac:dyDescent="0.3">
      <c r="A2" s="1"/>
      <c r="B2" s="60"/>
      <c r="C2" s="61"/>
      <c r="D2" s="61"/>
      <c r="E2" s="61"/>
      <c r="F2" s="62"/>
      <c r="G2" s="31"/>
      <c r="I2" s="32"/>
      <c r="J2" s="3"/>
      <c r="K2" s="3"/>
      <c r="L2" s="42"/>
      <c r="M2" s="42"/>
    </row>
    <row r="3" spans="1:13" x14ac:dyDescent="0.3">
      <c r="A3" s="1"/>
      <c r="B3" s="60"/>
      <c r="C3" s="61"/>
      <c r="D3" s="61"/>
      <c r="E3" s="61"/>
      <c r="F3" s="62"/>
      <c r="G3" s="31"/>
      <c r="H3" s="32"/>
      <c r="I3" s="32"/>
      <c r="J3" s="3"/>
      <c r="K3" s="3"/>
    </row>
    <row r="4" spans="1:13" ht="15" thickBot="1" x14ac:dyDescent="0.35">
      <c r="A4" s="1"/>
      <c r="B4" s="63"/>
      <c r="C4" s="64"/>
      <c r="D4" s="64"/>
      <c r="E4" s="64"/>
      <c r="F4" s="65"/>
      <c r="G4" s="31"/>
      <c r="H4" s="32"/>
      <c r="I4" s="32"/>
      <c r="J4" s="3"/>
      <c r="K4" s="3"/>
    </row>
    <row r="5" spans="1:13" s="5" customFormat="1" ht="15.75" thickBot="1" x14ac:dyDescent="0.3">
      <c r="C5" s="6"/>
      <c r="I5" s="32"/>
    </row>
    <row r="6" spans="1:13" s="5" customFormat="1" ht="21" x14ac:dyDescent="0.35">
      <c r="B6" s="7"/>
      <c r="C6" s="8" t="s">
        <v>5</v>
      </c>
      <c r="D6" s="9"/>
      <c r="E6" s="9"/>
      <c r="F6" s="10"/>
      <c r="H6" s="11" t="s">
        <v>21</v>
      </c>
      <c r="I6" s="11"/>
      <c r="J6" s="11"/>
      <c r="K6" s="11"/>
    </row>
    <row r="7" spans="1:13" s="5" customFormat="1" ht="21" x14ac:dyDescent="0.35">
      <c r="B7" s="12"/>
      <c r="C7" s="13" t="s">
        <v>55</v>
      </c>
      <c r="D7" s="14"/>
      <c r="E7" s="14"/>
      <c r="F7" s="15"/>
      <c r="H7" s="44" t="s">
        <v>38</v>
      </c>
      <c r="I7" s="44"/>
      <c r="J7" s="44"/>
      <c r="K7" s="48">
        <f>((1+quotedyield/yieldfrequency)^(yieldfrequency/couponfrequency)-1)*couponfrequency</f>
        <v>8.0000000000000071E-2</v>
      </c>
    </row>
    <row r="8" spans="1:13" ht="21" x14ac:dyDescent="0.35">
      <c r="B8" s="12"/>
      <c r="C8" s="13" t="s">
        <v>53</v>
      </c>
      <c r="D8" s="14"/>
      <c r="E8" s="14"/>
      <c r="F8" s="15"/>
      <c r="H8" s="16" t="s">
        <v>12</v>
      </c>
      <c r="I8" s="16"/>
      <c r="J8" s="17">
        <f>IF(AND(accruedmethod&lt;&gt;sifma,DAY(maturity)&lt;&gt;31,DAY(maturity+1)=1,monthend&lt;&gt;"MONTH-END",OR(DAY(maturity)=28,MONTH(COUPPCD(settlement,maturity,couponfrequency,1))&lt;&gt;2)),COUPPCD(settlement,maturity,couponfrequency,1)-DAY(COUPPCD(settlement,maturity,couponfrequency,1))+DAY(maturity),COUPPCD(settlement,maturity,couponfrequency,1))</f>
        <v>41274</v>
      </c>
      <c r="K8" s="11"/>
    </row>
    <row r="9" spans="1:13" ht="18.75" x14ac:dyDescent="0.3">
      <c r="B9" s="12"/>
      <c r="C9" s="14"/>
      <c r="D9" s="18" t="s">
        <v>0</v>
      </c>
      <c r="E9" s="14"/>
      <c r="F9" s="15"/>
      <c r="H9" s="16" t="s">
        <v>15</v>
      </c>
      <c r="I9" s="16"/>
      <c r="J9" s="17">
        <f>IF(AND(accruedmethod&lt;&gt;sifma,DAY(maturity)&lt;&gt;31,DAY(maturity+1)=1,monthend&lt;&gt;"MONTH-END",OR(DAY(maturity)=28,MONTH(COUPNCD(settlement,maturity,couponfrequency,1))&lt;&gt;2)),COUPNCD(settlement,maturity,couponfrequency,1)-DAY(COUPNCD(settlement,maturity,couponfrequency,1))+DAY(maturity),COUPNCD(settlement,maturity,couponfrequency,1))</f>
        <v>41364</v>
      </c>
      <c r="K9" s="11"/>
    </row>
    <row r="10" spans="1:13" ht="15" x14ac:dyDescent="0.25">
      <c r="B10" s="12"/>
      <c r="C10" s="19" t="s">
        <v>4</v>
      </c>
      <c r="D10" s="34">
        <v>6.5000000000000002E-2</v>
      </c>
      <c r="E10" s="14"/>
      <c r="F10" s="20" t="s">
        <v>11</v>
      </c>
      <c r="H10" s="11" t="s">
        <v>18</v>
      </c>
      <c r="I10" s="11"/>
      <c r="J10" s="11">
        <f>VLOOKUP(pricemethod,methodtable,2,FALSE)</f>
        <v>56</v>
      </c>
      <c r="K10" s="11"/>
    </row>
    <row r="11" spans="1:13" ht="15" x14ac:dyDescent="0.25">
      <c r="B11" s="12"/>
      <c r="C11" s="19" t="s">
        <v>37</v>
      </c>
      <c r="D11" s="35">
        <v>4</v>
      </c>
      <c r="E11" s="14"/>
      <c r="F11" s="20"/>
      <c r="H11" s="11" t="s">
        <v>19</v>
      </c>
      <c r="I11" s="11"/>
      <c r="J11" s="11">
        <f>VLOOKUP(pricemethod,methodtable,4,FALSE)</f>
        <v>360</v>
      </c>
      <c r="K11" s="11"/>
    </row>
    <row r="12" spans="1:13" ht="15" x14ac:dyDescent="0.25">
      <c r="B12" s="12"/>
      <c r="C12" s="19" t="s">
        <v>6</v>
      </c>
      <c r="D12" s="36">
        <v>43646</v>
      </c>
      <c r="E12" s="14"/>
      <c r="F12" s="20" t="s">
        <v>22</v>
      </c>
      <c r="H12" s="11" t="s">
        <v>17</v>
      </c>
      <c r="I12" s="11"/>
      <c r="J12" s="11">
        <f>VLOOKUP(accruedmethod,methodtable,3,FALSE)</f>
        <v>34</v>
      </c>
      <c r="K12" s="11"/>
    </row>
    <row r="13" spans="1:13" ht="15" x14ac:dyDescent="0.25">
      <c r="B13" s="12"/>
      <c r="C13" s="19" t="s">
        <v>1</v>
      </c>
      <c r="D13" s="36">
        <v>41308</v>
      </c>
      <c r="E13" s="14"/>
      <c r="F13" s="20" t="s">
        <v>22</v>
      </c>
      <c r="H13" s="11" t="s">
        <v>41</v>
      </c>
      <c r="I13" s="11"/>
      <c r="J13" s="11">
        <f>VLOOKUP(accruedmethod,methodtable,2,FALSE)</f>
        <v>56</v>
      </c>
      <c r="K13" s="11"/>
    </row>
    <row r="14" spans="1:13" ht="15" x14ac:dyDescent="0.25">
      <c r="B14" s="12"/>
      <c r="C14" s="19" t="s">
        <v>3</v>
      </c>
      <c r="D14" s="34">
        <v>0.08</v>
      </c>
      <c r="E14" s="14"/>
      <c r="F14" s="20" t="s">
        <v>11</v>
      </c>
      <c r="H14" s="11" t="s">
        <v>16</v>
      </c>
      <c r="I14" s="11"/>
      <c r="J14" s="11">
        <f>VLOOKUP(accruedmethod,methodtable,4,FALSE)</f>
        <v>360</v>
      </c>
      <c r="K14" s="11"/>
    </row>
    <row r="15" spans="1:13" ht="15" x14ac:dyDescent="0.25">
      <c r="B15" s="12"/>
      <c r="C15" s="19" t="s">
        <v>47</v>
      </c>
      <c r="D15" s="35">
        <v>4</v>
      </c>
      <c r="E15" s="14"/>
      <c r="F15" s="20"/>
      <c r="H15" s="11" t="s">
        <v>20</v>
      </c>
      <c r="I15" s="11"/>
      <c r="J15" s="51">
        <f>(YEAR(maturity)-YEAR(nextcoupon))*couponfrequency+(MONTH(maturity)-MONTH(nextcoupon))*couponfrequency/12</f>
        <v>25</v>
      </c>
      <c r="K15" s="11"/>
    </row>
    <row r="16" spans="1:13" ht="15" x14ac:dyDescent="0.25">
      <c r="B16" s="12"/>
      <c r="C16" s="19" t="str">
        <f>IF(AND(DAY(maturity)&lt;&gt;31,DAY(maturity+1)=1),"Are coupon payments always at month-end, or on the same date in each coupon month?","")</f>
        <v>Are coupon payments always at month-end, or on the same date in each coupon month?</v>
      </c>
      <c r="D16" s="50" t="s">
        <v>46</v>
      </c>
      <c r="E16" s="14"/>
      <c r="F16" s="20" t="str">
        <f>IF(AND(DAY(maturity)&lt;&gt;31,DAY(maturity+1)=1),"click the arrow and choose","")</f>
        <v>click the arrow and choose</v>
      </c>
      <c r="H16" s="16"/>
      <c r="I16" s="21" t="s">
        <v>14</v>
      </c>
      <c r="J16" s="21" t="s">
        <v>13</v>
      </c>
      <c r="K16" s="41" t="s">
        <v>26</v>
      </c>
    </row>
    <row r="17" spans="2:11" ht="15" x14ac:dyDescent="0.25">
      <c r="B17" s="12"/>
      <c r="C17" s="19" t="s">
        <v>7</v>
      </c>
      <c r="D17" s="46" t="s">
        <v>52</v>
      </c>
      <c r="E17" s="45" t="str">
        <f>""</f>
        <v/>
      </c>
      <c r="F17" s="20" t="s">
        <v>36</v>
      </c>
      <c r="H17" s="11" t="s">
        <v>35</v>
      </c>
      <c r="I17" s="40">
        <f>DAYS360(settlement,nextcoupon,TRUE)+IF(OR(AND(MOD(YEAR(settlement),4)&lt;&gt;0,DAY(settlement)=28),AND(MOD(YEAR(settlement),4)=0,DAY(settlement)=29)),DAY(settlement)-30,0)+IF(AND(nextcoupon&lt;maturity,OR(AND(MOD(YEAR(nextcoupon),4)&lt;&gt;0,DAY(nextcoupon)=28),AND(MOD(YEAR(nextcoupon),4)=0,DAY(nextcoupon)=29))),30-DAY(nextcoupon),0)</f>
        <v>57</v>
      </c>
      <c r="J17" s="40">
        <f>DAYS360(lastcoupon,settlement,TRUE)+IF(OR(AND(MOD(YEAR(lastcoupon),4)&lt;&gt;0,DAY(lastcoupon)=28),AND(MOD(YEAR(lastcoupon),4)=0,DAY(lastcoupon)=29)),DAY(lastcoupon)-30,0)+IF(AND(settlement&lt;maturity,OR(AND(MOD(YEAR(settlement),4)&lt;&gt;0,DAY(settlement)=28),AND(MOD(YEAR(settlement),4)=0,DAY(settlement)=29))),30-DAY(settlement),0)</f>
        <v>33</v>
      </c>
      <c r="K17" s="40">
        <v>360</v>
      </c>
    </row>
    <row r="18" spans="2:11" ht="15" x14ac:dyDescent="0.25">
      <c r="B18" s="12"/>
      <c r="C18" s="19" t="s">
        <v>8</v>
      </c>
      <c r="D18" s="46" t="s">
        <v>52</v>
      </c>
      <c r="E18" s="45" t="str">
        <f>""</f>
        <v/>
      </c>
      <c r="F18" s="20" t="s">
        <v>36</v>
      </c>
      <c r="H18" s="44" t="s">
        <v>31</v>
      </c>
      <c r="I18" s="43">
        <f>DAYS360(settlement,nextcoupon,TRUE)</f>
        <v>57</v>
      </c>
      <c r="J18" s="43">
        <f>DAYS360(lastcoupon,settlement,TRUE)</f>
        <v>33</v>
      </c>
      <c r="K18" s="43">
        <v>360</v>
      </c>
    </row>
    <row r="19" spans="2:11" ht="15" x14ac:dyDescent="0.25">
      <c r="B19" s="12"/>
      <c r="C19" s="19" t="s">
        <v>39</v>
      </c>
      <c r="D19" s="49" t="s">
        <v>40</v>
      </c>
      <c r="E19" s="14"/>
      <c r="F19" s="20" t="s">
        <v>36</v>
      </c>
      <c r="H19" s="39" t="s">
        <v>28</v>
      </c>
      <c r="I19" s="43">
        <f>DAYS360(settlement,nextcoupon,TRUE)+IF(OR(AND(MOD(YEAR(settlement),4)&lt;&gt;0,DAY(settlement)=28),AND(MOD(YEAR(settlement),4)=0,DAY(settlement)=29)),DAY(settlement)-30,0)+IF(OR(AND(MOD(YEAR(nextcoupon),4)&lt;&gt;0,DAY(nextcoupon)=28),AND(MOD(YEAR(nextcoupon),4)=0,DAY(nextcoupon)=29)),30-DAY(nextcoupon),0)</f>
        <v>57</v>
      </c>
      <c r="J19" s="43">
        <f>DAYS360(lastcoupon,settlement,TRUE)+IF(OR(AND(MOD(YEAR(lastcoupon),4)&lt;&gt;0,DAY(lastcoupon)=28),AND(MOD(YEAR(lastcoupon),4)=0,DAY(lastcoupon)=29)),DAY(lastcoupon)-30,0)+IF(OR(AND(MOD(YEAR(settlement),4)&lt;&gt;0,DAY(settlement)=28),AND(MOD(YEAR(settlement),4)=0,DAY(settlement)=29)),30-DAY(settlement),0)</f>
        <v>33</v>
      </c>
      <c r="K19" s="40">
        <v>360</v>
      </c>
    </row>
    <row r="20" spans="2:11" ht="15" x14ac:dyDescent="0.25">
      <c r="B20" s="12"/>
      <c r="C20" s="19" t="s">
        <v>43</v>
      </c>
      <c r="D20" s="33">
        <v>25000000</v>
      </c>
      <c r="E20" s="14"/>
      <c r="F20" s="38" t="s">
        <v>24</v>
      </c>
      <c r="H20" s="11" t="s">
        <v>32</v>
      </c>
      <c r="I20" s="43">
        <f>DAYS360(settlement,nextcoupon,TRUE)+IF(AND(DAY(nextcoupon)=31,DAY(settlement)&lt;30),1,0)</f>
        <v>58</v>
      </c>
      <c r="J20" s="43">
        <f>DAYS360(lastcoupon,settlement,TRUE)+IF(AND(DAY(settlement)=31,DAY(lastcoupon)&lt;30),1,0)</f>
        <v>33</v>
      </c>
      <c r="K20" s="43">
        <v>360</v>
      </c>
    </row>
    <row r="21" spans="2:11" ht="15" x14ac:dyDescent="0.25">
      <c r="B21" s="12"/>
      <c r="C21" s="52" t="str">
        <f>IF(pricemethod=accruedmethod,"","Are you sure?  For almost all bonds, the day/year method should be the same for both accrued coupon and price NPV calculation.")</f>
        <v/>
      </c>
      <c r="D21" s="14"/>
      <c r="E21" s="14"/>
      <c r="F21" s="15"/>
      <c r="H21" s="11" t="s">
        <v>33</v>
      </c>
      <c r="I21" s="40">
        <f>DAYS360(settlement,nextcoupon,TRUE)+IF(AND(DAY(nextcoupon)=31,DAY(settlement)&lt;30),1,0)+IF(OR(AND(MOD(YEAR(settlement),4)&lt;&gt;0,DAY(settlement)=28),AND(MOD(YEAR(settlement),4)=0,DAY(settlement)=29)),DAY(settlement)-30,0)+IF(AND(OR(AND(MOD(YEAR(nextcoupon),4)&lt;&gt;0,DAY(nextcoupon)=28),AND(MOD(YEAR(nextcoupon),4)=0,DAY(nextcoupon)=29)),OR(AND(MOD(YEAR(settlement),4)&lt;&gt;0,DAY(settlement)=28),AND(MOD(YEAR(settlement),4)=0,DAY(settlement)=29))),30-DAY(nextcoupon),0)</f>
        <v>58</v>
      </c>
      <c r="J21" s="40">
        <f>DAYS360(lastcoupon,settlement,TRUE)+IF(AND(DAY(settlement)=31,DAY(lastcoupon)&lt;30),1,0)+IF(OR(AND(MOD(YEAR(lastcoupon),4)&lt;&gt;0,DAY(lastcoupon)=28),AND(MOD(YEAR(lastcoupon),4)=0,DAY(lastcoupon)=29)),DAY(lastcoupon)-30,0)+IF(AND(OR(AND(MOD(YEAR(settlement),4)&lt;&gt;0,DAY(settlement)=28),AND(MOD(YEAR(settlement),4)=0,DAY(settlement)=29)),OR(AND(MOD(YEAR(lastcoupon),4)&lt;&gt;0,DAY(lastcoupon)=28),AND(MOD(YEAR(lastcoupon),4)=0,DAY(lastcoupon)=29))),30-DAY(settlement),0)</f>
        <v>33</v>
      </c>
      <c r="K21" s="40">
        <v>360</v>
      </c>
    </row>
    <row r="22" spans="2:11" ht="15" x14ac:dyDescent="0.25">
      <c r="B22" s="12"/>
      <c r="C22" s="47" t="str">
        <f>IF(AND(accruedmethod=sifma,monthend="SAME DATE"),"The spreadsheet assumes all coupon dates to be at month-end, because of the day/year method for accrued coupon you have chosen.","")</f>
        <v/>
      </c>
      <c r="D22" s="14"/>
      <c r="E22" s="14"/>
      <c r="F22" s="15"/>
      <c r="H22" s="16" t="s">
        <v>34</v>
      </c>
      <c r="I22" s="43">
        <f>nextcoupon-settlement</f>
        <v>56</v>
      </c>
      <c r="J22" s="43">
        <f>settlement-lastcoupon</f>
        <v>34</v>
      </c>
      <c r="K22" s="43">
        <f>(nextcoupon-lastcoupon)*couponfrequency</f>
        <v>360</v>
      </c>
    </row>
    <row r="23" spans="2:11" ht="19.5" thickBot="1" x14ac:dyDescent="0.35">
      <c r="B23" s="12"/>
      <c r="C23" s="14"/>
      <c r="D23" s="18" t="s">
        <v>2</v>
      </c>
      <c r="E23" s="14"/>
      <c r="F23" s="15"/>
      <c r="H23" s="16" t="s">
        <v>29</v>
      </c>
      <c r="I23" s="43">
        <f>nextcoupon-settlement</f>
        <v>56</v>
      </c>
      <c r="J23" s="43">
        <f>settlement-lastcoupon</f>
        <v>34</v>
      </c>
      <c r="K23" s="43">
        <v>365</v>
      </c>
    </row>
    <row r="24" spans="2:11" ht="15" x14ac:dyDescent="0.25">
      <c r="B24" s="12"/>
      <c r="C24" s="22" t="s">
        <v>42</v>
      </c>
      <c r="D24" s="56">
        <f>dirtyprice-accrued</f>
        <v>92.534968546950012</v>
      </c>
      <c r="E24" s="14"/>
      <c r="F24" s="15"/>
      <c r="H24" s="39" t="s">
        <v>27</v>
      </c>
      <c r="I24" s="40">
        <f>nextcoupon-settlement</f>
        <v>56</v>
      </c>
      <c r="J24" s="40">
        <f>settlement-lastcoupon</f>
        <v>34</v>
      </c>
      <c r="K24" s="40">
        <f>IF(MOD(YEAR(lastcoupon),4)=0,IF(lastcoupon&lt;DATEVALUE(TEXT(29,"#")&amp;"/"&amp;TEXT(2,"#")&amp;"/"&amp;TEXT(YEAR(lastcoupon),"#")),IF(nextcoupon&gt;DATEVALUE(TEXT(29,"#")&amp;"/"&amp;TEXT(2,"#")&amp;"/"&amp;TEXT(YEAR(lastcoupon),"#")),366,365),IF(nextcoupon&gt;DATEVALUE(TEXT(29,"#")&amp;"/"&amp;TEXT(2,"#")&amp;"/"&amp;TEXT(YEAR(lastcoupon)+4,"#")),366,365)),IF(nextcoupon&gt;DATEVALUE(TEXT(29,"#")&amp;"/"&amp;TEXT(2,"#")&amp;"/"&amp;TEXT(YEAR(lastcoupon)+4-MOD(YEAR(lastcoupon),4),"#")),366,365))</f>
        <v>365</v>
      </c>
    </row>
    <row r="25" spans="2:11" ht="15" x14ac:dyDescent="0.25">
      <c r="B25" s="12"/>
      <c r="C25" s="23" t="s">
        <v>44</v>
      </c>
      <c r="D25" s="24">
        <f>100*coupon*IF(exdiv="NO",daysaccrued,-exdivdays)/yearaccrued</f>
        <v>0.61388888888888893</v>
      </c>
      <c r="E25" s="14"/>
      <c r="F25" s="15"/>
      <c r="H25" s="16" t="s">
        <v>30</v>
      </c>
      <c r="I25" s="40">
        <f>IF(MOD(YEAR(settlement),4)=0,IF(OR(MONTH(settlement)=1,AND(MONTH(settlement)=2,DAY(settlement)&lt;29)),IF(nextcoupon&gt;DATEVALUE(TEXT(28,"#")&amp;"/"&amp;TEXT(2,"#")&amp;"/"&amp;TEXT(YEAR(settlement),"#")),nextcoupon-settlement-1,nextcoupon-settlement),IF(nextcoupon&gt;DATEVALUE(TEXT(28,"#")&amp;"/"&amp;TEXT(2,"#")&amp;"/"&amp;TEXT(YEAR(settlement)+4,"#")),nextcoupon-settlement-1,nextcoupon-settlement)),IF(nextcoupon&gt;DATEVALUE(TEXT(28,"#")&amp;"/"&amp;TEXT(2,"#")&amp;"/"&amp;TEXT(YEAR(settlement)+4-MOD(YEAR(settlement),4),"#")),nextcoupon-settlement-1,nextcoupon-settlement))</f>
        <v>56</v>
      </c>
      <c r="J25" s="40">
        <f>IF(MOD(YEAR(lastcoupon),4)=0,IF(OR(MONTH(lastcoupon)=1,AND(MONTH(lastcoupon)=2,DAY(lastcoupon)&lt;29)),IF(settlement&gt;DATEVALUE(TEXT(28,"#")&amp;"/"&amp;TEXT(2,"#")&amp;"/"&amp;TEXT(YEAR(lastcoupon),"#")),settlement-lastcoupon-1,settlement-lastcoupon),IF(settlement&gt;DATEVALUE(TEXT(28,"#")&amp;"/"&amp;TEXT(2,"#")&amp;"/"&amp;TEXT(YEAR(lastcoupon)+4,"#")),settlement-lastcoupon-1,settlement-lastcoupon)),IF(settlement&gt;DATEVALUE(TEXT(28,"#")&amp;"/"&amp;TEXT(2,"#")&amp;"/"&amp;TEXT(YEAR(lastcoupon)+4-MOD(YEAR(lastcoupon),4),"#")),settlement-lastcoupon-1,settlement-lastcoupon))</f>
        <v>34</v>
      </c>
      <c r="K25" s="43">
        <v>365</v>
      </c>
    </row>
    <row r="26" spans="2:11" ht="15" x14ac:dyDescent="0.25">
      <c r="B26" s="12"/>
      <c r="C26" s="23" t="s">
        <v>45</v>
      </c>
      <c r="D26" s="24">
        <f>100*(coupon/couponfrequency*(1-1/(1+yield/couponfrequency)^(periods+1))/(1-1/(1+yield/couponfrequency))+1/(1+yield/couponfrequency)^periods-IF(D19="YES",coupon/couponfrequency,0))/(1+yield/couponfrequency)^(daysprice*couponfrequency/yearprice)</f>
        <v>93.148857435838906</v>
      </c>
      <c r="E26" s="14"/>
      <c r="F26" s="15"/>
      <c r="H26" s="11" t="s">
        <v>25</v>
      </c>
      <c r="I26" s="40">
        <f>nextcoupon-settlement</f>
        <v>56</v>
      </c>
      <c r="J26" s="40">
        <f>settlement-lastcoupon</f>
        <v>34</v>
      </c>
      <c r="K26" s="40">
        <f>IF(MOD(YEAR(nextcoupon),4)=0,366,365)</f>
        <v>365</v>
      </c>
    </row>
    <row r="27" spans="2:11" ht="15" x14ac:dyDescent="0.25">
      <c r="B27" s="12"/>
      <c r="C27" s="23" t="s">
        <v>23</v>
      </c>
      <c r="D27" s="53">
        <f>D20*dirtyprice/100</f>
        <v>23287214.358959727</v>
      </c>
      <c r="E27" s="14"/>
      <c r="F27" s="15"/>
      <c r="H27" s="16" t="s">
        <v>9</v>
      </c>
      <c r="I27" s="43">
        <f>nextcoupon-settlement</f>
        <v>56</v>
      </c>
      <c r="J27" s="43">
        <f>settlement-lastcoupon</f>
        <v>34</v>
      </c>
      <c r="K27" s="43">
        <v>360</v>
      </c>
    </row>
    <row r="28" spans="2:11" x14ac:dyDescent="0.3">
      <c r="B28" s="12"/>
      <c r="C28" s="23" t="s">
        <v>50</v>
      </c>
      <c r="D28" s="53">
        <f>100/dirtyprice/couponfrequency*(1+yield/couponfrequency)^(-daysprice*couponfrequency/yearprice)*(coupon/couponfrequency*(((daysprice*couponfrequency/yearprice)-(1+yield/couponfrequency)^(-periods-1)*((daysprice*couponfrequency/yearprice)+(periods+1)))/(1-1/(1+yield/couponfrequency))+((1/(1+yield/couponfrequency))-(1+yield/couponfrequency)^(-periods-2))/(1-1/(1+yield/couponfrequency))^2-IF(exdiv="YES",daysprice*couponfrequency/yearprice,0))+((daysprice*couponfrequency/yearprice)+periods)*(1+yield/couponfrequency)^-periods)</f>
        <v>5.2023458025051976</v>
      </c>
      <c r="E28" s="14"/>
      <c r="F28" s="15"/>
      <c r="H28" s="16" t="s">
        <v>57</v>
      </c>
      <c r="I28" s="43">
        <f>nextcoupon-settlement</f>
        <v>56</v>
      </c>
      <c r="J28" s="43">
        <f>settlement-lastcoupon</f>
        <v>34</v>
      </c>
      <c r="K28" s="43">
        <v>364</v>
      </c>
    </row>
    <row r="29" spans="2:11" ht="15" x14ac:dyDescent="0.25">
      <c r="B29" s="12"/>
      <c r="C29" s="23" t="s">
        <v>48</v>
      </c>
      <c r="D29" s="53">
        <f>D28/(1+yield/couponfrequency)</f>
        <v>5.1003390220639195</v>
      </c>
      <c r="E29" s="14"/>
      <c r="F29" s="15"/>
    </row>
    <row r="30" spans="2:11" ht="15" x14ac:dyDescent="0.25">
      <c r="B30" s="12"/>
      <c r="C30" s="23" t="s">
        <v>51</v>
      </c>
      <c r="D30" s="54">
        <f>D29*0.0001*dirtyprice</f>
        <v>4.7509075244067805E-2</v>
      </c>
      <c r="E30" s="14"/>
      <c r="F30" s="15"/>
    </row>
    <row r="31" spans="2:11" ht="15.75" thickBot="1" x14ac:dyDescent="0.3">
      <c r="B31" s="12"/>
      <c r="C31" s="25" t="s">
        <v>49</v>
      </c>
      <c r="D31" s="26">
        <f>100/couponfrequency^2/D26*(1/(1+yield/couponfrequency))^((daysprice*couponfrequency/yearprice)+2)*(((daysprice*couponfrequency/yearprice*(daysprice*couponfrequency/yearprice+1)-1/(1+yield/couponfrequency)^(periods+1)*(daysprice*couponfrequency/yearprice+periods+1)*(daysprice*couponfrequency/yearprice+periods+2))/(1-1/(1+yield/couponfrequency))+1/(1+yield/couponfrequency)*(2*(daysprice*couponfrequency/yearprice+1)-2*1/(1+yield/couponfrequency)^(periods+1)*(daysprice*couponfrequency/yearprice+periods+2))/(1-1/(1+yield/couponfrequency))^2+2*1/(1+yield/couponfrequency)^2*(1-1/(1+yield/couponfrequency)^(periods+1))/(1-1/(1+yield/couponfrequency))^3-(daysprice*couponfrequency/yearprice+1)*IF(D19="YES",daysprice*couponfrequency/yearprice,0))*coupon/couponfrequency+1/(1+yield/couponfrequency)^periods*(daysprice*couponfrequency/yearprice+periods+1)*(daysprice*couponfrequency/yearprice+periods))</f>
        <v>30.986032510584874</v>
      </c>
      <c r="E31" s="14"/>
      <c r="F31" s="15"/>
    </row>
    <row r="32" spans="2:11" ht="15" x14ac:dyDescent="0.25">
      <c r="B32" s="12"/>
      <c r="C32" s="14"/>
      <c r="D32" s="14"/>
      <c r="E32" s="14"/>
      <c r="F32" s="15"/>
      <c r="G32" s="37"/>
    </row>
    <row r="33" spans="2:7" ht="15.75" thickBot="1" x14ac:dyDescent="0.3">
      <c r="B33" s="27"/>
      <c r="C33" s="28" t="s">
        <v>10</v>
      </c>
      <c r="D33" s="29"/>
      <c r="E33" s="29"/>
      <c r="F33" s="30"/>
      <c r="G33" s="37"/>
    </row>
    <row r="35" spans="2:7" x14ac:dyDescent="0.3">
      <c r="C35" s="55"/>
      <c r="D35" s="55"/>
      <c r="E35" s="55"/>
      <c r="F35" s="55"/>
    </row>
    <row r="36" spans="2:7" x14ac:dyDescent="0.3">
      <c r="C36" s="55"/>
      <c r="D36" s="55"/>
      <c r="E36" s="55"/>
      <c r="F36" s="55"/>
    </row>
    <row r="37" spans="2:7" x14ac:dyDescent="0.3">
      <c r="C37" s="55"/>
      <c r="D37" s="55"/>
      <c r="E37" s="55"/>
      <c r="F37" s="55"/>
    </row>
    <row r="38" spans="2:7" x14ac:dyDescent="0.3">
      <c r="C38" s="55"/>
      <c r="D38" s="55"/>
      <c r="E38" s="55"/>
      <c r="F38" s="55"/>
    </row>
    <row r="39" spans="2:7" x14ac:dyDescent="0.3">
      <c r="C39" s="55"/>
      <c r="D39" s="55"/>
      <c r="E39" s="55"/>
      <c r="F39" s="55"/>
    </row>
    <row r="40" spans="2:7" x14ac:dyDescent="0.3">
      <c r="C40" s="55"/>
      <c r="D40" s="55"/>
      <c r="E40" s="55"/>
      <c r="F40" s="55"/>
    </row>
    <row r="41" spans="2:7" x14ac:dyDescent="0.3">
      <c r="C41" s="55"/>
      <c r="D41" s="55"/>
      <c r="E41" s="55"/>
      <c r="F41" s="55"/>
    </row>
    <row r="42" spans="2:7" x14ac:dyDescent="0.3">
      <c r="C42" s="55"/>
      <c r="D42" s="55"/>
      <c r="E42" s="55"/>
      <c r="F42" s="55"/>
    </row>
    <row r="43" spans="2:7" x14ac:dyDescent="0.3">
      <c r="C43" s="55"/>
      <c r="D43" s="55"/>
      <c r="E43" s="55"/>
      <c r="F43" s="55"/>
    </row>
  </sheetData>
  <sheetProtection sheet="1" objects="1" scenarios="1" selectLockedCells="1"/>
  <mergeCells count="1">
    <mergeCell ref="B1:F4"/>
  </mergeCells>
  <conditionalFormatting sqref="D16">
    <cfRule type="expression" dxfId="0" priority="1">
      <formula>OR(C16="")</formula>
    </cfRule>
  </conditionalFormatting>
  <dataValidations count="6">
    <dataValidation type="whole" errorStyle="warning" operator="equal" showInputMessage="1" showErrorMessage="1" errorTitle="Are you sure?" error="Except for Eurobonds with semi-annual coupons, the compounding frequency of the yield is typically the same as the frequency of coupon payments per year." sqref="D15">
      <formula1>D11</formula1>
    </dataValidation>
    <dataValidation type="list" showInputMessage="1" showErrorMessage="1" error="Please click the arrow and choose 'NO' or 'YES'." sqref="D19">
      <formula1>"NO,YES"</formula1>
    </dataValidation>
    <dataValidation type="list" showInputMessage="1" showErrorMessage="1" error="Please click the arrow and choose" sqref="D16">
      <formula1>"MONTH-END,SAME DATE"</formula1>
    </dataValidation>
    <dataValidation type="list" showInputMessage="1" showErrorMessage="1" errorTitle="Invalid day/year method" error="Click cancel.  Then click the small  arrow on the right and choose a day/year method" sqref="D17">
      <formula1>H17:H28</formula1>
    </dataValidation>
    <dataValidation type="list" showInputMessage="1" showErrorMessage="1" errorTitle="Invalid day/year methiod" error="Click cancel.  Then click the small  arrow on the right and choose a day/year method." sqref="D18">
      <formula1>H17:H28</formula1>
    </dataValidation>
    <dataValidation type="date" operator="lessThan" showInputMessage="1" showErrorMessage="1" errorTitle="Invalid date" error="The settlement date should be earlier than the maturity date of the bond." sqref="D13">
      <formula1>D12</formula1>
    </dataValidation>
  </dataValidations>
  <hyperlinks>
    <hyperlink ref="C33" r:id="rId1" display="www.markets-international.com"/>
  </hyperlinks>
  <pageMargins left="0.7" right="0.7" top="0.75" bottom="0.75" header="0.3" footer="0.3"/>
  <pageSetup paperSize="9" scale="60" fitToHeight="0"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3"/>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25</vt:i4>
      </vt:variant>
    </vt:vector>
  </HeadingPairs>
  <TitlesOfParts>
    <vt:vector size="28" baseType="lpstr">
      <vt:lpstr>Sheet1</vt:lpstr>
      <vt:lpstr>Sheet2</vt:lpstr>
      <vt:lpstr>Sheet3</vt:lpstr>
      <vt:lpstr>accrued</vt:lpstr>
      <vt:lpstr>accruedmethod</vt:lpstr>
      <vt:lpstr>cleanprice</vt:lpstr>
      <vt:lpstr>coupon</vt:lpstr>
      <vt:lpstr>couponfrequency</vt:lpstr>
      <vt:lpstr>daysaccrued</vt:lpstr>
      <vt:lpstr>daysprice</vt:lpstr>
      <vt:lpstr>dirtyprice</vt:lpstr>
      <vt:lpstr>exdiv</vt:lpstr>
      <vt:lpstr>exdivdays</vt:lpstr>
      <vt:lpstr>lastcoupon</vt:lpstr>
      <vt:lpstr>maturity</vt:lpstr>
      <vt:lpstr>methodtable</vt:lpstr>
      <vt:lpstr>monthend</vt:lpstr>
      <vt:lpstr>nextcoupon</vt:lpstr>
      <vt:lpstr>periods</vt:lpstr>
      <vt:lpstr>pricemethod</vt:lpstr>
      <vt:lpstr>Sheet1!Print_Area</vt:lpstr>
      <vt:lpstr>quotedyield</vt:lpstr>
      <vt:lpstr>settlement</vt:lpstr>
      <vt:lpstr>sifma</vt:lpstr>
      <vt:lpstr>yearaccrued</vt:lpstr>
      <vt:lpstr>yearprice</vt:lpstr>
      <vt:lpstr>yield</vt:lpstr>
      <vt:lpstr>yieldfrequency</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Bob</dc:creator>
  <cp:lastModifiedBy>Bob</cp:lastModifiedBy>
  <cp:lastPrinted>2012-01-09T15:02:54Z</cp:lastPrinted>
  <dcterms:created xsi:type="dcterms:W3CDTF">2011-01-13T14:26:35Z</dcterms:created>
  <dcterms:modified xsi:type="dcterms:W3CDTF">2018-09-12T16:20:35Z</dcterms:modified>
</cp:coreProperties>
</file>